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 userName="Lynne Popplewell" reservationPassword="CA71"/>
  <workbookPr defaultThemeVersion="124226"/>
  <bookViews>
    <workbookView xWindow="15" yWindow="0" windowWidth="2265" windowHeight="1110"/>
  </bookViews>
  <sheets>
    <sheet name="Table 1" sheetId="10" r:id="rId1"/>
    <sheet name="Table 2-5" sheetId="5" r:id="rId2"/>
  </sheets>
  <externalReferences>
    <externalReference r:id="rId3"/>
  </externalReferences>
  <definedNames>
    <definedName name="_xlnm.Print_Area" localSheetId="1">'Table 2-5'!$A$1:$N$43</definedName>
  </definedNames>
  <calcPr calcId="144525"/>
</workbook>
</file>

<file path=xl/calcChain.xml><?xml version="1.0" encoding="utf-8"?>
<calcChain xmlns="http://schemas.openxmlformats.org/spreadsheetml/2006/main">
  <c r="C50" i="10" l="1"/>
  <c r="B42" i="10"/>
  <c r="K33" i="5" l="1"/>
  <c r="K32" i="5"/>
  <c r="K31" i="5"/>
  <c r="K30" i="5"/>
  <c r="K35" i="5" s="1"/>
  <c r="K20" i="5"/>
  <c r="K11" i="5"/>
  <c r="K25" i="5" s="1"/>
  <c r="H52" i="10" l="1"/>
  <c r="H51" i="10"/>
  <c r="H45" i="10"/>
  <c r="H44" i="10"/>
  <c r="H43" i="10"/>
  <c r="H41" i="10"/>
  <c r="H40" i="10"/>
  <c r="H39" i="10"/>
  <c r="H38" i="10"/>
  <c r="H36" i="10"/>
  <c r="H35" i="10"/>
  <c r="H34" i="10"/>
  <c r="H31" i="10"/>
  <c r="H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8" i="10"/>
  <c r="H9" i="10"/>
  <c r="H7" i="10"/>
  <c r="C35" i="10"/>
  <c r="C34" i="10"/>
  <c r="F52" i="10"/>
  <c r="F51" i="10"/>
  <c r="F45" i="10"/>
  <c r="F44" i="10"/>
  <c r="F43" i="10"/>
  <c r="F41" i="10"/>
  <c r="F40" i="10"/>
  <c r="F39" i="10"/>
  <c r="F38" i="10"/>
  <c r="F36" i="10"/>
  <c r="F31" i="10"/>
  <c r="F29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8" i="10"/>
  <c r="F9" i="10"/>
  <c r="F7" i="10"/>
  <c r="B35" i="10"/>
  <c r="B27" i="10"/>
  <c r="B25" i="10"/>
  <c r="B24" i="10"/>
  <c r="B21" i="10"/>
  <c r="B18" i="10"/>
  <c r="B36" i="10"/>
  <c r="B17" i="10"/>
  <c r="B14" i="10"/>
  <c r="B15" i="10"/>
  <c r="B16" i="10"/>
  <c r="B13" i="10"/>
  <c r="B12" i="10"/>
  <c r="I11" i="5" l="1"/>
  <c r="I20" i="5"/>
  <c r="I30" i="5"/>
  <c r="I31" i="5"/>
  <c r="I32" i="5"/>
  <c r="I33" i="5"/>
  <c r="I25" i="5" l="1"/>
  <c r="I35" i="5"/>
  <c r="B22" i="10" l="1"/>
  <c r="B29" i="10" l="1"/>
  <c r="D29" i="10" s="1"/>
  <c r="D31" i="10"/>
  <c r="C53" i="10"/>
  <c r="B53" i="10"/>
  <c r="D51" i="10"/>
  <c r="D52" i="10"/>
  <c r="D50" i="10"/>
  <c r="C47" i="10"/>
  <c r="D45" i="10"/>
  <c r="D44" i="10"/>
  <c r="D43" i="10"/>
  <c r="D42" i="10"/>
  <c r="D41" i="10"/>
  <c r="D40" i="10"/>
  <c r="D39" i="10"/>
  <c r="D38" i="10"/>
  <c r="D36" i="10"/>
  <c r="D35" i="10"/>
  <c r="F35" i="10" s="1"/>
  <c r="D34" i="10"/>
  <c r="F34" i="10" s="1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F12" i="10" s="1"/>
  <c r="D9" i="10"/>
  <c r="D8" i="10"/>
  <c r="D7" i="10"/>
  <c r="F50" i="10" l="1"/>
  <c r="F53" i="10" s="1"/>
  <c r="H50" i="10"/>
  <c r="H53" i="10" s="1"/>
  <c r="F42" i="10"/>
  <c r="H42" i="10" s="1"/>
  <c r="H47" i="10" s="1"/>
  <c r="F47" i="10"/>
  <c r="C56" i="10"/>
  <c r="D53" i="10"/>
  <c r="B47" i="10"/>
  <c r="B56" i="10" s="1"/>
  <c r="D47" i="10"/>
  <c r="F56" i="10" l="1"/>
  <c r="H56" i="10"/>
  <c r="D56" i="10"/>
  <c r="D14" i="5" l="1"/>
  <c r="C14" i="5"/>
  <c r="D10" i="5"/>
  <c r="C10" i="5"/>
</calcChain>
</file>

<file path=xl/sharedStrings.xml><?xml version="1.0" encoding="utf-8"?>
<sst xmlns="http://schemas.openxmlformats.org/spreadsheetml/2006/main" count="143" uniqueCount="115">
  <si>
    <t>Better Payment Practice Code - Measure of Compliance</t>
  </si>
  <si>
    <t>Number</t>
  </si>
  <si>
    <t>£000s</t>
  </si>
  <si>
    <t>Non-NHS Payables</t>
  </si>
  <si>
    <t>Total Non-NHS Trade Invoices Paid in the Year</t>
  </si>
  <si>
    <t>Total Non-NHS Trade Invoices Paid Within Target</t>
  </si>
  <si>
    <t>Percentage of Non-NHS Trade Invoices Paid Within Target</t>
  </si>
  <si>
    <t>NHS Payables</t>
  </si>
  <si>
    <t>Total NHS Trade Invoices Paid in the Year</t>
  </si>
  <si>
    <t>Total NHS Trade Invoices Paid Within Target</t>
  </si>
  <si>
    <t>Percentage of NHS Trade Invoices Paid Within Target</t>
  </si>
  <si>
    <t>Continuing Healthcare</t>
  </si>
  <si>
    <t>Primary Care</t>
  </si>
  <si>
    <t>Prescribing</t>
  </si>
  <si>
    <t>Hull &amp; East Yorkshire Hospitals</t>
  </si>
  <si>
    <t>North Lincolnshire &amp; Goole FT</t>
  </si>
  <si>
    <t>Leeds Teaching Hospitals</t>
  </si>
  <si>
    <t>Sheffield Teaching Hospitals FT</t>
  </si>
  <si>
    <t>United Lincolnshire</t>
  </si>
  <si>
    <t>East Midlands Ambulance Service</t>
  </si>
  <si>
    <t>Adult Social Care</t>
  </si>
  <si>
    <t>St Hughes</t>
  </si>
  <si>
    <t>Reserves</t>
  </si>
  <si>
    <t>2% Non Recurrent Funds</t>
  </si>
  <si>
    <t>Service Improvement plans</t>
  </si>
  <si>
    <t>TABLE 2 - BETTER PAYMENT PRACTICE</t>
  </si>
  <si>
    <t>TABLE 4 - CASH</t>
  </si>
  <si>
    <t>RECURRENT</t>
  </si>
  <si>
    <t>NON RECURRENT</t>
  </si>
  <si>
    <t>IN YEAR</t>
  </si>
  <si>
    <t>£'000</t>
  </si>
  <si>
    <t>Other</t>
  </si>
  <si>
    <t>Secondary Care</t>
  </si>
  <si>
    <t>Sheffield Children's Hospitals FT</t>
  </si>
  <si>
    <t>Core Care</t>
  </si>
  <si>
    <t xml:space="preserve">Yarborough &amp; Clee </t>
  </si>
  <si>
    <t>Children's Trust</t>
  </si>
  <si>
    <t xml:space="preserve">Planned Investment </t>
  </si>
  <si>
    <t>Earmarked Reserves</t>
  </si>
  <si>
    <t>- Activity</t>
  </si>
  <si>
    <t>- Prescribing</t>
  </si>
  <si>
    <t>- Transitions</t>
  </si>
  <si>
    <t>- Impact of NHS restructure</t>
  </si>
  <si>
    <t>- Continuing Care - retrospective cases</t>
  </si>
  <si>
    <t>Contingency (0.5%)</t>
  </si>
  <si>
    <t>Strategic Change</t>
  </si>
  <si>
    <t>PLANNED SURPLUS</t>
  </si>
  <si>
    <t>Navigo*</t>
  </si>
  <si>
    <t>Care Plus*</t>
  </si>
  <si>
    <t xml:space="preserve">PARTNERSHIP AGREEMENT </t>
  </si>
  <si>
    <t>RESOURCE LIMIT</t>
  </si>
  <si>
    <t xml:space="preserve">HEALTH -  PROGRAMME ALLOCATION </t>
  </si>
  <si>
    <t xml:space="preserve">HEALTH - ADMIN ALLOCATION </t>
  </si>
  <si>
    <t>TOTAL RESOURCES AVAILABLE</t>
  </si>
  <si>
    <t>TOTAL PLANNED EXPENDITURE</t>
  </si>
  <si>
    <t>CCG Running Costs</t>
  </si>
  <si>
    <t>Value (£'m)</t>
  </si>
  <si>
    <t>Transactional/ Transformational</t>
  </si>
  <si>
    <t>Type of Care</t>
  </si>
  <si>
    <t>HEALTH</t>
  </si>
  <si>
    <t>GREEN "RAG" RATED SCHEMES</t>
  </si>
  <si>
    <t xml:space="preserve">End of Life  Full Home Support </t>
  </si>
  <si>
    <t>Transformational</t>
  </si>
  <si>
    <t>End of life</t>
  </si>
  <si>
    <t>End of Life Care Facilitator for Care Homes</t>
  </si>
  <si>
    <t>Non-Invasive Ventilation at home</t>
  </si>
  <si>
    <t>Community</t>
  </si>
  <si>
    <t>Baseline budget rebasing- Prescribing</t>
  </si>
  <si>
    <t>Transactional</t>
  </si>
  <si>
    <t>Continuing care pooled budget management</t>
  </si>
  <si>
    <t>Long term conditions</t>
  </si>
  <si>
    <t>AMBER "RAG" RATED SCHEMES</t>
  </si>
  <si>
    <t>Parkinsons Disease Specialist Nurse</t>
  </si>
  <si>
    <t>Epilepsy Specialist Nurse</t>
  </si>
  <si>
    <t>Diabetes TeleMed</t>
  </si>
  <si>
    <t>Diagnostics</t>
  </si>
  <si>
    <t>Community Paediatric Nursing</t>
  </si>
  <si>
    <t>Paediatric Assessment unit</t>
  </si>
  <si>
    <t>CERT</t>
  </si>
  <si>
    <t>Dementia prevention</t>
  </si>
  <si>
    <t>RED "RAG" RATED SCHEMES</t>
  </si>
  <si>
    <t>Tighten threshold to services (Low Priority Procedures)</t>
  </si>
  <si>
    <t>Planned Care</t>
  </si>
  <si>
    <t xml:space="preserve">TOTAL </t>
  </si>
  <si>
    <t xml:space="preserve">Green </t>
  </si>
  <si>
    <t>=</t>
  </si>
  <si>
    <t>Full plan in place &amp; agreed</t>
  </si>
  <si>
    <t xml:space="preserve">Amber </t>
  </si>
  <si>
    <t>Outline plan in place</t>
  </si>
  <si>
    <t xml:space="preserve">Red </t>
  </si>
  <si>
    <t>No implementation plan</t>
  </si>
  <si>
    <t>Re-Shaping Supply</t>
  </si>
  <si>
    <t>Managing Demand</t>
  </si>
  <si>
    <t>Efficiencies</t>
  </si>
  <si>
    <t>Raising Income</t>
  </si>
  <si>
    <t>TOTAL</t>
  </si>
  <si>
    <t>FOT</t>
  </si>
  <si>
    <t>ADULT SOCIAL CARE</t>
  </si>
  <si>
    <t>TABLE 5 - QIPP</t>
  </si>
  <si>
    <t>NELC  Shared Service better payment practice - no data avilable yet</t>
  </si>
  <si>
    <t>TABLE 3 - Surplus</t>
  </si>
  <si>
    <t>SBS</t>
  </si>
  <si>
    <t>LES</t>
  </si>
  <si>
    <t>Variance</t>
  </si>
  <si>
    <t xml:space="preserve">North East Lincolnshire CCG </t>
  </si>
  <si>
    <t>Financial Performance - April 2013</t>
  </si>
  <si>
    <t>Plan</t>
  </si>
  <si>
    <t>Forecast</t>
  </si>
  <si>
    <t>Key to RAG ratings:</t>
  </si>
  <si>
    <t>SCG **</t>
  </si>
  <si>
    <t>- Transition issues including allocations ***</t>
  </si>
  <si>
    <t xml:space="preserve">      cover their share of the transitional risks. </t>
  </si>
  <si>
    <t>*    Health &amp; Adult Social Care</t>
  </si>
  <si>
    <t>**   Funding will be transferred from South Yorks &amp; Bassetlaw Area Team to cover this.</t>
  </si>
  <si>
    <t xml:space="preserve">*** Following agreement with the North Yorkshire &amp; Humber Area Team £750k has been transferred to them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</si>
</sst>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"/>
    <numFmt numFmtId="165" formatCode="#,##0.0;[Red]\(#,##0.0\)"/>
    <numFmt numFmtId="166" formatCode="#,##0;\(#,##0\)"/>
    <numFmt numFmtId="167" formatCode="#,##0;[Red]\(#,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5" fillId="0" borderId="0" xfId="0" applyFont="1" applyBorder="1"/>
    <xf numFmtId="37" fontId="8" fillId="0" borderId="0" xfId="0" applyNumberFormat="1" applyFont="1" applyBorder="1"/>
    <xf numFmtId="166" fontId="8" fillId="0" borderId="0" xfId="0" applyNumberFormat="1" applyFont="1" applyBorder="1"/>
    <xf numFmtId="37" fontId="4" fillId="0" borderId="0" xfId="0" applyNumberFormat="1" applyFont="1" applyBorder="1"/>
    <xf numFmtId="37" fontId="5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37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37" fontId="9" fillId="0" borderId="0" xfId="0" applyNumberFormat="1" applyFont="1" applyBorder="1"/>
    <xf numFmtId="166" fontId="9" fillId="0" borderId="0" xfId="0" applyNumberFormat="1" applyFont="1" applyBorder="1"/>
    <xf numFmtId="0" fontId="4" fillId="0" borderId="0" xfId="0" applyFont="1" applyBorder="1"/>
    <xf numFmtId="166" fontId="4" fillId="0" borderId="0" xfId="0" applyNumberFormat="1" applyFont="1" applyBorder="1"/>
    <xf numFmtId="0" fontId="4" fillId="0" borderId="0" xfId="0" applyFont="1" applyFill="1" applyBorder="1"/>
    <xf numFmtId="0" fontId="4" fillId="0" borderId="0" xfId="0" quotePrefix="1" applyFont="1" applyFill="1" applyBorder="1"/>
    <xf numFmtId="37" fontId="4" fillId="0" borderId="0" xfId="0" applyNumberFormat="1" applyFont="1" applyFill="1" applyBorder="1"/>
    <xf numFmtId="0" fontId="5" fillId="0" borderId="0" xfId="0" applyFont="1" applyFill="1" applyBorder="1"/>
    <xf numFmtId="37" fontId="5" fillId="0" borderId="17" xfId="0" applyNumberFormat="1" applyFont="1" applyBorder="1"/>
    <xf numFmtId="166" fontId="5" fillId="0" borderId="17" xfId="0" applyNumberFormat="1" applyFont="1" applyBorder="1"/>
    <xf numFmtId="37" fontId="5" fillId="0" borderId="0" xfId="0" applyNumberFormat="1" applyFont="1" applyBorder="1"/>
    <xf numFmtId="166" fontId="5" fillId="0" borderId="0" xfId="0" applyNumberFormat="1" applyFont="1" applyBorder="1"/>
    <xf numFmtId="37" fontId="5" fillId="0" borderId="18" xfId="0" applyNumberFormat="1" applyFont="1" applyBorder="1"/>
    <xf numFmtId="166" fontId="5" fillId="0" borderId="18" xfId="0" applyNumberFormat="1" applyFont="1" applyBorder="1"/>
    <xf numFmtId="166" fontId="4" fillId="0" borderId="0" xfId="0" applyNumberFormat="1" applyFont="1"/>
    <xf numFmtId="166" fontId="7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/>
    <xf numFmtId="0" fontId="13" fillId="0" borderId="12" xfId="0" applyFont="1" applyBorder="1"/>
    <xf numFmtId="0" fontId="11" fillId="0" borderId="13" xfId="0" applyFont="1" applyBorder="1"/>
    <xf numFmtId="0" fontId="11" fillId="0" borderId="13" xfId="0" applyFont="1" applyFill="1" applyBorder="1"/>
    <xf numFmtId="0" fontId="13" fillId="0" borderId="0" xfId="0" applyFont="1" applyBorder="1"/>
    <xf numFmtId="0" fontId="14" fillId="0" borderId="1" xfId="0" applyFont="1" applyBorder="1" applyAlignment="1"/>
    <xf numFmtId="0" fontId="14" fillId="0" borderId="14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1" fillId="0" borderId="5" xfId="0" applyFont="1" applyBorder="1" applyAlignment="1"/>
    <xf numFmtId="0" fontId="11" fillId="0" borderId="15" xfId="0" applyFont="1" applyBorder="1" applyAlignment="1"/>
    <xf numFmtId="0" fontId="11" fillId="0" borderId="6" xfId="0" applyFont="1" applyBorder="1" applyAlignment="1"/>
    <xf numFmtId="0" fontId="11" fillId="2" borderId="4" xfId="0" applyFont="1" applyFill="1" applyBorder="1" applyAlignment="1"/>
    <xf numFmtId="0" fontId="11" fillId="0" borderId="7" xfId="0" applyFont="1" applyBorder="1" applyAlignment="1"/>
    <xf numFmtId="0" fontId="11" fillId="0" borderId="11" xfId="0" applyFont="1" applyBorder="1" applyAlignment="1"/>
    <xf numFmtId="167" fontId="11" fillId="3" borderId="8" xfId="0" applyNumberFormat="1" applyFont="1" applyFill="1" applyBorder="1" applyAlignment="1" applyProtection="1">
      <protection locked="0"/>
    </xf>
    <xf numFmtId="165" fontId="11" fillId="4" borderId="8" xfId="0" applyNumberFormat="1" applyFont="1" applyFill="1" applyBorder="1" applyAlignment="1"/>
    <xf numFmtId="165" fontId="11" fillId="2" borderId="4" xfId="0" applyNumberFormat="1" applyFont="1" applyFill="1" applyBorder="1" applyAlignment="1"/>
    <xf numFmtId="0" fontId="11" fillId="0" borderId="0" xfId="0" applyFont="1" applyFill="1"/>
    <xf numFmtId="0" fontId="11" fillId="0" borderId="9" xfId="0" applyFont="1" applyBorder="1" applyAlignment="1"/>
    <xf numFmtId="0" fontId="11" fillId="0" borderId="16" xfId="0" applyFont="1" applyBorder="1" applyAlignment="1"/>
    <xf numFmtId="165" fontId="11" fillId="4" borderId="1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/>
    <xf numFmtId="0" fontId="5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center"/>
    </xf>
    <xf numFmtId="0" fontId="12" fillId="0" borderId="0" xfId="0" applyFont="1" applyBorder="1"/>
    <xf numFmtId="0" fontId="2" fillId="0" borderId="0" xfId="0" applyFont="1" applyBorder="1"/>
    <xf numFmtId="37" fontId="2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11" fillId="0" borderId="16" xfId="0" applyFont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1" fillId="0" borderId="22" xfId="0" applyFont="1" applyBorder="1" applyAlignment="1"/>
    <xf numFmtId="0" fontId="11" fillId="2" borderId="21" xfId="0" applyFont="1" applyFill="1" applyBorder="1" applyAlignment="1"/>
    <xf numFmtId="167" fontId="11" fillId="3" borderId="23" xfId="0" applyNumberFormat="1" applyFont="1" applyFill="1" applyBorder="1" applyAlignment="1" applyProtection="1">
      <protection locked="0"/>
    </xf>
    <xf numFmtId="165" fontId="11" fillId="4" borderId="23" xfId="0" applyNumberFormat="1" applyFont="1" applyFill="1" applyBorder="1" applyAlignment="1"/>
    <xf numFmtId="164" fontId="11" fillId="2" borderId="21" xfId="0" applyNumberFormat="1" applyFont="1" applyFill="1" applyBorder="1" applyAlignment="1"/>
    <xf numFmtId="165" fontId="11" fillId="4" borderId="24" xfId="0" applyNumberFormat="1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quotePrefix="1" applyFont="1" applyFill="1" applyBorder="1"/>
    <xf numFmtId="0" fontId="1" fillId="0" borderId="0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[1]Surplus!$A$5</c:f>
              <c:strCache>
                <c:ptCount val="1"/>
                <c:pt idx="0">
                  <c:v>Amount Forecast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  <a:ln w="28575">
              <a:noFill/>
            </a:ln>
          </c:spPr>
          <c:invertIfNegative val="0"/>
          <c:cat>
            <c:strRef>
              <c:f>[1]Surplus!$B$3</c:f>
              <c:strCache>
                <c:ptCount val="1"/>
                <c:pt idx="0">
                  <c:v>£'000s</c:v>
                </c:pt>
              </c:strCache>
            </c:strRef>
          </c:cat>
          <c:val>
            <c:numRef>
              <c:f>[1]Surplus!$B$5</c:f>
              <c:numCache>
                <c:formatCode>General</c:formatCode>
                <c:ptCount val="1"/>
                <c:pt idx="0">
                  <c:v>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89088"/>
        <c:axId val="179789824"/>
      </c:barChart>
      <c:scatterChart>
        <c:scatterStyle val="lineMarker"/>
        <c:varyColors val="0"/>
        <c:ser>
          <c:idx val="0"/>
          <c:order val="0"/>
          <c:tx>
            <c:strRef>
              <c:f>[1]Surplus!$A$4</c:f>
              <c:strCache>
                <c:ptCount val="1"/>
                <c:pt idx="0">
                  <c:v>Control Total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xVal>
            <c:strRef>
              <c:f>[1]Surplus!$B$3</c:f>
              <c:strCache>
                <c:ptCount val="1"/>
                <c:pt idx="0">
                  <c:v>£'000s</c:v>
                </c:pt>
              </c:strCache>
            </c:strRef>
          </c:xVal>
          <c:yVal>
            <c:numRef>
              <c:f>[1]Surplus!$B$4</c:f>
              <c:numCache>
                <c:formatCode>General</c:formatCode>
                <c:ptCount val="1"/>
                <c:pt idx="0">
                  <c:v>1400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[1]Surplus!$A$6</c:f>
              <c:strCache>
                <c:ptCount val="1"/>
                <c:pt idx="0">
                  <c:v>Breakeven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strRef>
              <c:f>[1]Surplus!$B$3</c:f>
              <c:strCache>
                <c:ptCount val="1"/>
                <c:pt idx="0">
                  <c:v>£'000s</c:v>
                </c:pt>
              </c:strCache>
            </c:strRef>
          </c:xVal>
          <c:yVal>
            <c:numRef>
              <c:f>[1]Surplus!$B$6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89088"/>
        <c:axId val="179789824"/>
      </c:scatterChart>
      <c:catAx>
        <c:axId val="17928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9789824"/>
        <c:crosses val="autoZero"/>
        <c:auto val="1"/>
        <c:lblAlgn val="ctr"/>
        <c:lblOffset val="100"/>
        <c:noMultiLvlLbl val="0"/>
      </c:catAx>
      <c:valAx>
        <c:axId val="17978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28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2013.14</a:t>
            </a:r>
            <a:r>
              <a:rPr lang="en-US" sz="1400" baseline="0"/>
              <a:t> CASH SPEND BY MONTH</a:t>
            </a:r>
            <a:endParaRPr lang="en-US" sz="1400"/>
          </a:p>
        </c:rich>
      </c:tx>
      <c:layout>
        <c:manualLayout>
          <c:xMode val="edge"/>
          <c:yMode val="edge"/>
          <c:x val="0.2241944444444444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[1]Cash!$M$13</c:f>
              <c:strCache>
                <c:ptCount val="1"/>
                <c:pt idx="0">
                  <c:v>£'000s</c:v>
                </c:pt>
              </c:strCache>
            </c:strRef>
          </c:tx>
          <c:invertIfNegative val="0"/>
          <c:cat>
            <c:strRef>
              <c:f>[1]Cash!$A$14:$A$25</c:f>
              <c:strCache>
                <c:ptCount val="12"/>
                <c:pt idx="0">
                  <c:v>Months</c:v>
                </c:pt>
                <c:pt idx="1">
                  <c:v>Apr</c:v>
                </c:pt>
                <c:pt idx="2">
                  <c:v>May</c:v>
                </c:pt>
                <c:pt idx="3">
                  <c:v>Jun 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[1]Cash!$M$14:$M$25</c:f>
              <c:numCache>
                <c:formatCode>General</c:formatCode>
                <c:ptCount val="12"/>
                <c:pt idx="0">
                  <c:v>0</c:v>
                </c:pt>
                <c:pt idx="1">
                  <c:v>33112</c:v>
                </c:pt>
                <c:pt idx="2">
                  <c:v>20192</c:v>
                </c:pt>
                <c:pt idx="3">
                  <c:v>21610</c:v>
                </c:pt>
                <c:pt idx="4">
                  <c:v>29892</c:v>
                </c:pt>
                <c:pt idx="5">
                  <c:v>19122</c:v>
                </c:pt>
                <c:pt idx="6">
                  <c:v>20606</c:v>
                </c:pt>
                <c:pt idx="7">
                  <c:v>30510</c:v>
                </c:pt>
                <c:pt idx="8">
                  <c:v>19202</c:v>
                </c:pt>
                <c:pt idx="9">
                  <c:v>24480</c:v>
                </c:pt>
                <c:pt idx="10">
                  <c:v>30179</c:v>
                </c:pt>
                <c:pt idx="11">
                  <c:v>26716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54272"/>
        <c:axId val="224342784"/>
      </c:barChart>
      <c:catAx>
        <c:axId val="22405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24342784"/>
        <c:crosses val="autoZero"/>
        <c:auto val="1"/>
        <c:lblAlgn val="ctr"/>
        <c:lblOffset val="100"/>
        <c:noMultiLvlLbl val="0"/>
      </c:catAx>
      <c:valAx>
        <c:axId val="224342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4054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104775</xdr:rowOff>
    </xdr:from>
    <xdr:to>
      <xdr:col>2</xdr:col>
      <xdr:colOff>200025</xdr:colOff>
      <xdr:row>27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1</xdr:rowOff>
    </xdr:from>
    <xdr:to>
      <xdr:col>3</xdr:col>
      <xdr:colOff>238125</xdr:colOff>
      <xdr:row>40</xdr:row>
      <xdr:rowOff>76201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LCCG/Finance/Corporate%20Finance/Corporate%20+%20Performance/2012-13/CCG%20Board/Mar%2013/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"/>
      <sheetName val="Surplus"/>
      <sheetName val="Sheet3"/>
    </sheetNames>
    <sheetDataSet>
      <sheetData sheetId="0">
        <row r="13">
          <cell r="M13" t="str">
            <v>£'000s</v>
          </cell>
        </row>
        <row r="14">
          <cell r="A14" t="str">
            <v>Months</v>
          </cell>
          <cell r="M14" t="str">
            <v>£'000s</v>
          </cell>
        </row>
        <row r="15">
          <cell r="A15" t="str">
            <v>Apr</v>
          </cell>
          <cell r="M15">
            <v>33112</v>
          </cell>
        </row>
        <row r="16">
          <cell r="A16" t="str">
            <v>May</v>
          </cell>
          <cell r="M16">
            <v>20192</v>
          </cell>
        </row>
        <row r="17">
          <cell r="A17" t="str">
            <v xml:space="preserve">Jun </v>
          </cell>
          <cell r="M17">
            <v>21610</v>
          </cell>
        </row>
        <row r="18">
          <cell r="A18" t="str">
            <v>Jul</v>
          </cell>
          <cell r="M18">
            <v>29892</v>
          </cell>
        </row>
        <row r="19">
          <cell r="A19" t="str">
            <v>Aug</v>
          </cell>
          <cell r="M19">
            <v>19122</v>
          </cell>
        </row>
        <row r="20">
          <cell r="A20" t="str">
            <v>Sep</v>
          </cell>
          <cell r="M20">
            <v>20606</v>
          </cell>
        </row>
        <row r="21">
          <cell r="A21" t="str">
            <v>Oct</v>
          </cell>
          <cell r="M21">
            <v>30510</v>
          </cell>
        </row>
        <row r="22">
          <cell r="A22" t="str">
            <v>Nov</v>
          </cell>
          <cell r="M22">
            <v>19202</v>
          </cell>
        </row>
        <row r="23">
          <cell r="A23" t="str">
            <v>Dec</v>
          </cell>
          <cell r="M23">
            <v>24480</v>
          </cell>
        </row>
        <row r="24">
          <cell r="A24" t="str">
            <v>Jan</v>
          </cell>
          <cell r="M24">
            <v>30179</v>
          </cell>
        </row>
        <row r="25">
          <cell r="A25" t="str">
            <v>Feb</v>
          </cell>
          <cell r="M25">
            <v>26716</v>
          </cell>
        </row>
      </sheetData>
      <sheetData sheetId="1">
        <row r="3">
          <cell r="B3" t="str">
            <v>£'000s</v>
          </cell>
        </row>
        <row r="4">
          <cell r="A4" t="str">
            <v>Control Total</v>
          </cell>
          <cell r="B4">
            <v>1400</v>
          </cell>
        </row>
        <row r="5">
          <cell r="A5" t="str">
            <v>Amount Forecast</v>
          </cell>
          <cell r="B5">
            <v>1400</v>
          </cell>
        </row>
        <row r="6">
          <cell r="A6" t="str">
            <v>Breakeven</v>
          </cell>
          <cell r="B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zoomScale="85" zoomScaleNormal="85" workbookViewId="0">
      <pane xSplit="1" ySplit="3" topLeftCell="D4" activePane="bottomRight" state="frozen"/>
      <selection activeCell="B11" sqref="B11"/>
      <selection pane="topRight" activeCell="B11" sqref="B11"/>
      <selection pane="bottomLeft" activeCell="B11" sqref="B11"/>
      <selection pane="bottomRight" activeCell="A61" sqref="A61"/>
    </sheetView>
  </sheetViews>
  <sheetFormatPr defaultRowHeight="14.25" x14ac:dyDescent="0.2"/>
  <cols>
    <col min="1" max="1" width="51" style="13" customWidth="1"/>
    <col min="2" max="2" width="15.7109375" style="4" hidden="1" customWidth="1"/>
    <col min="3" max="3" width="15.7109375" style="14" hidden="1" customWidth="1"/>
    <col min="4" max="4" width="15.7109375" style="4" customWidth="1"/>
    <col min="5" max="5" width="2.7109375" style="4" customWidth="1"/>
    <col min="6" max="6" width="15.7109375" style="14" customWidth="1"/>
    <col min="7" max="7" width="2.7109375" style="13" customWidth="1"/>
    <col min="8" max="8" width="15.7109375" style="13" customWidth="1"/>
    <col min="9" max="16384" width="9.140625" style="13"/>
  </cols>
  <sheetData>
    <row r="1" spans="1:8" ht="15" x14ac:dyDescent="0.25">
      <c r="A1" s="1" t="s">
        <v>104</v>
      </c>
      <c r="B1" s="2"/>
      <c r="C1" s="3"/>
    </row>
    <row r="2" spans="1:8" s="4" customFormat="1" ht="17.25" customHeight="1" x14ac:dyDescent="0.25">
      <c r="A2" s="1" t="s">
        <v>105</v>
      </c>
      <c r="B2" s="2"/>
      <c r="C2" s="3"/>
      <c r="D2" s="2"/>
      <c r="F2" s="14"/>
    </row>
    <row r="3" spans="1:8" s="4" customFormat="1" ht="30" x14ac:dyDescent="0.25">
      <c r="B3" s="5" t="s">
        <v>27</v>
      </c>
      <c r="C3" s="6" t="s">
        <v>28</v>
      </c>
      <c r="D3" s="5" t="s">
        <v>29</v>
      </c>
      <c r="F3" s="78" t="s">
        <v>96</v>
      </c>
      <c r="H3" s="79" t="s">
        <v>103</v>
      </c>
    </row>
    <row r="4" spans="1:8" s="4" customFormat="1" ht="15" customHeight="1" x14ac:dyDescent="0.25">
      <c r="A4" s="7"/>
      <c r="B4" s="5" t="s">
        <v>30</v>
      </c>
      <c r="C4" s="5" t="s">
        <v>30</v>
      </c>
      <c r="D4" s="5" t="s">
        <v>30</v>
      </c>
      <c r="F4" s="6" t="s">
        <v>30</v>
      </c>
      <c r="H4" s="6" t="s">
        <v>30</v>
      </c>
    </row>
    <row r="5" spans="1:8" s="4" customFormat="1" ht="15" customHeight="1" x14ac:dyDescent="0.25">
      <c r="A5" s="7"/>
      <c r="B5" s="8"/>
      <c r="C5" s="9"/>
      <c r="D5" s="8"/>
      <c r="F5" s="14"/>
    </row>
    <row r="6" spans="1:8" s="4" customFormat="1" ht="15" x14ac:dyDescent="0.25">
      <c r="A6" s="10" t="s">
        <v>12</v>
      </c>
      <c r="B6" s="11"/>
      <c r="C6" s="12"/>
      <c r="D6" s="11"/>
      <c r="F6" s="14"/>
    </row>
    <row r="7" spans="1:8" s="4" customFormat="1" x14ac:dyDescent="0.2">
      <c r="A7" s="76" t="s">
        <v>102</v>
      </c>
      <c r="B7" s="4">
        <v>442</v>
      </c>
      <c r="C7" s="14">
        <v>0</v>
      </c>
      <c r="D7" s="4">
        <f>SUM(B7:C7)</f>
        <v>442</v>
      </c>
      <c r="F7" s="14">
        <f>D7</f>
        <v>442</v>
      </c>
      <c r="H7" s="4">
        <f>D7-F7</f>
        <v>0</v>
      </c>
    </row>
    <row r="8" spans="1:8" s="4" customFormat="1" x14ac:dyDescent="0.2">
      <c r="A8" s="13" t="s">
        <v>31</v>
      </c>
      <c r="B8" s="4">
        <v>1504</v>
      </c>
      <c r="C8" s="14">
        <v>0</v>
      </c>
      <c r="D8" s="4">
        <f>SUM(B8:C8)</f>
        <v>1504</v>
      </c>
      <c r="F8" s="14">
        <f t="shared" ref="F8:F9" si="0">D8</f>
        <v>1504</v>
      </c>
      <c r="H8" s="4">
        <f t="shared" ref="H8:H9" si="1">D8-F8</f>
        <v>0</v>
      </c>
    </row>
    <row r="9" spans="1:8" s="4" customFormat="1" x14ac:dyDescent="0.2">
      <c r="A9" s="13" t="s">
        <v>13</v>
      </c>
      <c r="B9" s="4">
        <v>26445</v>
      </c>
      <c r="C9" s="14">
        <v>0</v>
      </c>
      <c r="D9" s="4">
        <f>SUM(B9:C9)</f>
        <v>26445</v>
      </c>
      <c r="F9" s="14">
        <f t="shared" si="0"/>
        <v>26445</v>
      </c>
      <c r="H9" s="4">
        <f t="shared" si="1"/>
        <v>0</v>
      </c>
    </row>
    <row r="11" spans="1:8" s="4" customFormat="1" ht="15" x14ac:dyDescent="0.25">
      <c r="A11" s="10" t="s">
        <v>32</v>
      </c>
      <c r="B11" s="11"/>
      <c r="C11" s="12"/>
      <c r="D11" s="11"/>
      <c r="F11" s="14"/>
    </row>
    <row r="12" spans="1:8" s="4" customFormat="1" x14ac:dyDescent="0.2">
      <c r="A12" s="13" t="s">
        <v>15</v>
      </c>
      <c r="B12" s="4">
        <f>93309-2285</f>
        <v>91024</v>
      </c>
      <c r="C12" s="14">
        <v>3179</v>
      </c>
      <c r="D12" s="4">
        <f t="shared" ref="D12:D31" si="2">SUM(B12:C12)</f>
        <v>94203</v>
      </c>
      <c r="F12" s="14">
        <f t="shared" ref="F12:F31" si="3">D12</f>
        <v>94203</v>
      </c>
      <c r="H12" s="4">
        <f t="shared" ref="H12:H31" si="4">D12-F12</f>
        <v>0</v>
      </c>
    </row>
    <row r="13" spans="1:8" s="4" customFormat="1" x14ac:dyDescent="0.2">
      <c r="A13" s="13" t="s">
        <v>14</v>
      </c>
      <c r="B13" s="4">
        <f>7704+314</f>
        <v>8018</v>
      </c>
      <c r="C13" s="14">
        <v>0</v>
      </c>
      <c r="D13" s="4">
        <f t="shared" si="2"/>
        <v>8018</v>
      </c>
      <c r="F13" s="14">
        <f t="shared" si="3"/>
        <v>8018</v>
      </c>
      <c r="H13" s="4">
        <f t="shared" si="4"/>
        <v>0</v>
      </c>
    </row>
    <row r="14" spans="1:8" s="4" customFormat="1" x14ac:dyDescent="0.2">
      <c r="A14" s="13" t="s">
        <v>16</v>
      </c>
      <c r="B14" s="4">
        <f>970-179</f>
        <v>791</v>
      </c>
      <c r="C14" s="14">
        <v>0</v>
      </c>
      <c r="D14" s="4">
        <f t="shared" si="2"/>
        <v>791</v>
      </c>
      <c r="F14" s="14">
        <f t="shared" si="3"/>
        <v>791</v>
      </c>
      <c r="H14" s="4">
        <f t="shared" si="4"/>
        <v>0</v>
      </c>
    </row>
    <row r="15" spans="1:8" s="4" customFormat="1" x14ac:dyDescent="0.2">
      <c r="A15" s="13" t="s">
        <v>17</v>
      </c>
      <c r="B15" s="4">
        <f>899-66</f>
        <v>833</v>
      </c>
      <c r="C15" s="14">
        <v>0</v>
      </c>
      <c r="D15" s="4">
        <f t="shared" si="2"/>
        <v>833</v>
      </c>
      <c r="F15" s="14">
        <f t="shared" si="3"/>
        <v>833</v>
      </c>
      <c r="H15" s="4">
        <f t="shared" si="4"/>
        <v>0</v>
      </c>
    </row>
    <row r="16" spans="1:8" s="4" customFormat="1" x14ac:dyDescent="0.2">
      <c r="A16" s="13" t="s">
        <v>33</v>
      </c>
      <c r="B16" s="4">
        <f>1340-957</f>
        <v>383</v>
      </c>
      <c r="C16" s="14">
        <v>0</v>
      </c>
      <c r="D16" s="4">
        <f t="shared" si="2"/>
        <v>383</v>
      </c>
      <c r="F16" s="14">
        <f t="shared" si="3"/>
        <v>383</v>
      </c>
      <c r="H16" s="4">
        <f t="shared" si="4"/>
        <v>0</v>
      </c>
    </row>
    <row r="17" spans="1:8" s="4" customFormat="1" x14ac:dyDescent="0.2">
      <c r="A17" s="13" t="s">
        <v>18</v>
      </c>
      <c r="B17" s="4">
        <f>363-55</f>
        <v>308</v>
      </c>
      <c r="C17" s="14">
        <v>0</v>
      </c>
      <c r="D17" s="4">
        <f t="shared" si="2"/>
        <v>308</v>
      </c>
      <c r="F17" s="14">
        <f t="shared" si="3"/>
        <v>308</v>
      </c>
      <c r="H17" s="4">
        <f t="shared" si="4"/>
        <v>0</v>
      </c>
    </row>
    <row r="18" spans="1:8" s="4" customFormat="1" x14ac:dyDescent="0.2">
      <c r="A18" s="13" t="s">
        <v>19</v>
      </c>
      <c r="B18" s="4">
        <f>4780+11</f>
        <v>4791</v>
      </c>
      <c r="C18" s="14">
        <v>0</v>
      </c>
      <c r="D18" s="4">
        <f t="shared" si="2"/>
        <v>4791</v>
      </c>
      <c r="F18" s="14">
        <f t="shared" si="3"/>
        <v>4791</v>
      </c>
      <c r="H18" s="4">
        <f t="shared" si="4"/>
        <v>0</v>
      </c>
    </row>
    <row r="19" spans="1:8" s="4" customFormat="1" x14ac:dyDescent="0.2">
      <c r="A19" s="13" t="s">
        <v>24</v>
      </c>
      <c r="B19" s="4">
        <v>1183</v>
      </c>
      <c r="C19" s="14">
        <v>0</v>
      </c>
      <c r="D19" s="4">
        <f t="shared" si="2"/>
        <v>1183</v>
      </c>
      <c r="F19" s="14">
        <f t="shared" si="3"/>
        <v>1183</v>
      </c>
      <c r="H19" s="4">
        <f t="shared" si="4"/>
        <v>0</v>
      </c>
    </row>
    <row r="20" spans="1:8" s="4" customFormat="1" x14ac:dyDescent="0.2">
      <c r="A20" s="13" t="s">
        <v>11</v>
      </c>
      <c r="B20" s="4">
        <v>7423</v>
      </c>
      <c r="C20" s="14">
        <v>0</v>
      </c>
      <c r="D20" s="4">
        <f t="shared" si="2"/>
        <v>7423</v>
      </c>
      <c r="F20" s="14">
        <f t="shared" si="3"/>
        <v>7423</v>
      </c>
      <c r="H20" s="4">
        <f t="shared" si="4"/>
        <v>0</v>
      </c>
    </row>
    <row r="21" spans="1:8" s="4" customFormat="1" x14ac:dyDescent="0.2">
      <c r="A21" s="13" t="s">
        <v>47</v>
      </c>
      <c r="B21" s="4">
        <f>17552+3044+149</f>
        <v>20745</v>
      </c>
      <c r="C21" s="14">
        <v>0</v>
      </c>
      <c r="D21" s="4">
        <f t="shared" si="2"/>
        <v>20745</v>
      </c>
      <c r="F21" s="14">
        <f t="shared" si="3"/>
        <v>20745</v>
      </c>
      <c r="H21" s="4">
        <f t="shared" si="4"/>
        <v>0</v>
      </c>
    </row>
    <row r="22" spans="1:8" s="4" customFormat="1" x14ac:dyDescent="0.2">
      <c r="A22" s="13" t="s">
        <v>48</v>
      </c>
      <c r="B22" s="4">
        <f>13094+8243</f>
        <v>21337</v>
      </c>
      <c r="C22" s="14">
        <v>0</v>
      </c>
      <c r="D22" s="4">
        <f t="shared" si="2"/>
        <v>21337</v>
      </c>
      <c r="F22" s="14">
        <f t="shared" si="3"/>
        <v>21337</v>
      </c>
      <c r="H22" s="4">
        <f t="shared" si="4"/>
        <v>0</v>
      </c>
    </row>
    <row r="23" spans="1:8" s="4" customFormat="1" x14ac:dyDescent="0.2">
      <c r="A23" s="13" t="s">
        <v>21</v>
      </c>
      <c r="B23" s="4">
        <v>3853</v>
      </c>
      <c r="C23" s="14">
        <v>0</v>
      </c>
      <c r="D23" s="4">
        <f t="shared" si="2"/>
        <v>3853</v>
      </c>
      <c r="F23" s="14">
        <f t="shared" si="3"/>
        <v>3853</v>
      </c>
      <c r="H23" s="4">
        <f t="shared" si="4"/>
        <v>0</v>
      </c>
    </row>
    <row r="24" spans="1:8" s="4" customFormat="1" x14ac:dyDescent="0.2">
      <c r="A24" s="15" t="s">
        <v>34</v>
      </c>
      <c r="B24" s="4">
        <f>1496-202</f>
        <v>1294</v>
      </c>
      <c r="C24" s="14">
        <v>0</v>
      </c>
      <c r="D24" s="4">
        <f t="shared" si="2"/>
        <v>1294</v>
      </c>
      <c r="F24" s="14">
        <f t="shared" si="3"/>
        <v>1294</v>
      </c>
      <c r="H24" s="4">
        <f t="shared" si="4"/>
        <v>0</v>
      </c>
    </row>
    <row r="25" spans="1:8" s="4" customFormat="1" x14ac:dyDescent="0.2">
      <c r="A25" s="15" t="s">
        <v>35</v>
      </c>
      <c r="B25" s="4">
        <f>929+150</f>
        <v>1079</v>
      </c>
      <c r="C25" s="14">
        <v>0</v>
      </c>
      <c r="D25" s="4">
        <f t="shared" si="2"/>
        <v>1079</v>
      </c>
      <c r="F25" s="14">
        <f t="shared" si="3"/>
        <v>1079</v>
      </c>
      <c r="H25" s="4">
        <f t="shared" si="4"/>
        <v>0</v>
      </c>
    </row>
    <row r="26" spans="1:8" s="4" customFormat="1" x14ac:dyDescent="0.2">
      <c r="A26" s="13" t="s">
        <v>36</v>
      </c>
      <c r="B26" s="4">
        <v>2650</v>
      </c>
      <c r="C26" s="14">
        <v>0</v>
      </c>
      <c r="D26" s="4">
        <f t="shared" si="2"/>
        <v>2650</v>
      </c>
      <c r="F26" s="14">
        <f t="shared" si="3"/>
        <v>2650</v>
      </c>
      <c r="H26" s="4">
        <f t="shared" si="4"/>
        <v>0</v>
      </c>
    </row>
    <row r="27" spans="1:8" s="4" customFormat="1" x14ac:dyDescent="0.2">
      <c r="A27" s="13" t="s">
        <v>31</v>
      </c>
      <c r="B27" s="4">
        <f>6282+624+188-171-4-32-128</f>
        <v>6759</v>
      </c>
      <c r="C27" s="14">
        <v>0</v>
      </c>
      <c r="D27" s="4">
        <f t="shared" si="2"/>
        <v>6759</v>
      </c>
      <c r="F27" s="14">
        <f t="shared" si="3"/>
        <v>6759</v>
      </c>
      <c r="H27" s="4">
        <f t="shared" si="4"/>
        <v>0</v>
      </c>
    </row>
    <row r="29" spans="1:8" ht="15" x14ac:dyDescent="0.25">
      <c r="A29" s="10" t="s">
        <v>20</v>
      </c>
      <c r="B29" s="4">
        <f>38098-1410</f>
        <v>36688</v>
      </c>
      <c r="C29" s="14">
        <v>0</v>
      </c>
      <c r="D29" s="4">
        <f t="shared" si="2"/>
        <v>36688</v>
      </c>
      <c r="F29" s="14">
        <f t="shared" si="3"/>
        <v>36688</v>
      </c>
      <c r="H29" s="4">
        <f t="shared" si="4"/>
        <v>0</v>
      </c>
    </row>
    <row r="31" spans="1:8" ht="15" x14ac:dyDescent="0.25">
      <c r="A31" s="10" t="s">
        <v>55</v>
      </c>
      <c r="B31" s="4">
        <v>5510</v>
      </c>
      <c r="C31" s="14">
        <v>0</v>
      </c>
      <c r="D31" s="4">
        <f t="shared" si="2"/>
        <v>5510</v>
      </c>
      <c r="F31" s="14">
        <f t="shared" si="3"/>
        <v>5510</v>
      </c>
      <c r="H31" s="4">
        <f t="shared" si="4"/>
        <v>0</v>
      </c>
    </row>
    <row r="33" spans="1:8" s="4" customFormat="1" ht="15" x14ac:dyDescent="0.25">
      <c r="A33" s="10" t="s">
        <v>22</v>
      </c>
      <c r="C33" s="12"/>
      <c r="D33" s="11"/>
      <c r="F33" s="14"/>
    </row>
    <row r="34" spans="1:8" s="4" customFormat="1" x14ac:dyDescent="0.2">
      <c r="A34" s="13" t="s">
        <v>23</v>
      </c>
      <c r="B34" s="4">
        <v>0</v>
      </c>
      <c r="C34" s="14">
        <f>4027-2330</f>
        <v>1697</v>
      </c>
      <c r="D34" s="4">
        <f t="shared" ref="D34:D45" si="5">SUM(B34:C34)</f>
        <v>1697</v>
      </c>
      <c r="F34" s="14">
        <f t="shared" ref="F34:F36" si="6">D34</f>
        <v>1697</v>
      </c>
      <c r="H34" s="4">
        <f t="shared" ref="H34:H45" si="7">D34-F34</f>
        <v>0</v>
      </c>
    </row>
    <row r="35" spans="1:8" x14ac:dyDescent="0.2">
      <c r="A35" s="13" t="s">
        <v>37</v>
      </c>
      <c r="B35" s="4">
        <f>4566-305-11-149+202-150-624-188+171+4+32+128+1788</f>
        <v>5464</v>
      </c>
      <c r="C35" s="14">
        <f>-345-401-448</f>
        <v>-1194</v>
      </c>
      <c r="D35" s="4">
        <f t="shared" si="5"/>
        <v>4270</v>
      </c>
      <c r="F35" s="14">
        <f t="shared" si="6"/>
        <v>4270</v>
      </c>
      <c r="H35" s="4">
        <f t="shared" si="7"/>
        <v>0</v>
      </c>
    </row>
    <row r="36" spans="1:8" x14ac:dyDescent="0.2">
      <c r="A36" s="97" t="s">
        <v>109</v>
      </c>
      <c r="B36" s="14">
        <f>-9545+2285-314+66+957+179+55+305</f>
        <v>-6012</v>
      </c>
      <c r="C36" s="14">
        <v>0</v>
      </c>
      <c r="D36" s="14">
        <f t="shared" si="5"/>
        <v>-6012</v>
      </c>
      <c r="F36" s="14">
        <f t="shared" si="6"/>
        <v>-6012</v>
      </c>
      <c r="H36" s="4">
        <f t="shared" si="7"/>
        <v>0</v>
      </c>
    </row>
    <row r="37" spans="1:8" x14ac:dyDescent="0.2">
      <c r="A37" s="15" t="s">
        <v>38</v>
      </c>
    </row>
    <row r="38" spans="1:8" x14ac:dyDescent="0.2">
      <c r="A38" s="16" t="s">
        <v>39</v>
      </c>
      <c r="B38" s="4">
        <v>600</v>
      </c>
      <c r="C38" s="14">
        <v>0</v>
      </c>
      <c r="D38" s="4">
        <f t="shared" si="5"/>
        <v>600</v>
      </c>
      <c r="F38" s="14">
        <f t="shared" ref="F38:F45" si="8">D38</f>
        <v>600</v>
      </c>
      <c r="H38" s="4">
        <f t="shared" si="7"/>
        <v>0</v>
      </c>
    </row>
    <row r="39" spans="1:8" x14ac:dyDescent="0.2">
      <c r="A39" s="16" t="s">
        <v>40</v>
      </c>
      <c r="B39" s="4">
        <v>500</v>
      </c>
      <c r="C39" s="14">
        <v>0</v>
      </c>
      <c r="D39" s="4">
        <f t="shared" si="5"/>
        <v>500</v>
      </c>
      <c r="F39" s="14">
        <f t="shared" si="8"/>
        <v>500</v>
      </c>
      <c r="H39" s="4">
        <f t="shared" si="7"/>
        <v>0</v>
      </c>
    </row>
    <row r="40" spans="1:8" x14ac:dyDescent="0.2">
      <c r="A40" s="16" t="s">
        <v>41</v>
      </c>
      <c r="B40" s="4">
        <v>300</v>
      </c>
      <c r="C40" s="14">
        <v>0</v>
      </c>
      <c r="D40" s="4">
        <f t="shared" si="5"/>
        <v>300</v>
      </c>
      <c r="F40" s="14">
        <f t="shared" si="8"/>
        <v>300</v>
      </c>
      <c r="H40" s="4">
        <f t="shared" si="7"/>
        <v>0</v>
      </c>
    </row>
    <row r="41" spans="1:8" x14ac:dyDescent="0.2">
      <c r="A41" s="16" t="s">
        <v>42</v>
      </c>
      <c r="B41" s="17">
        <v>1000</v>
      </c>
      <c r="C41" s="14">
        <v>0</v>
      </c>
      <c r="D41" s="4">
        <f t="shared" si="5"/>
        <v>1000</v>
      </c>
      <c r="F41" s="14">
        <f t="shared" si="8"/>
        <v>1000</v>
      </c>
      <c r="H41" s="4">
        <f t="shared" si="7"/>
        <v>0</v>
      </c>
    </row>
    <row r="42" spans="1:8" x14ac:dyDescent="0.2">
      <c r="A42" s="99" t="s">
        <v>110</v>
      </c>
      <c r="B42" s="17">
        <f>1500</f>
        <v>1500</v>
      </c>
      <c r="C42" s="14">
        <v>-750</v>
      </c>
      <c r="D42" s="4">
        <f t="shared" si="5"/>
        <v>750</v>
      </c>
      <c r="F42" s="14">
        <f t="shared" si="8"/>
        <v>750</v>
      </c>
      <c r="H42" s="4">
        <f t="shared" si="7"/>
        <v>0</v>
      </c>
    </row>
    <row r="43" spans="1:8" x14ac:dyDescent="0.2">
      <c r="A43" s="16" t="s">
        <v>43</v>
      </c>
      <c r="B43" s="17">
        <v>170</v>
      </c>
      <c r="C43" s="14">
        <v>0</v>
      </c>
      <c r="D43" s="4">
        <f t="shared" si="5"/>
        <v>170</v>
      </c>
      <c r="F43" s="14">
        <f t="shared" si="8"/>
        <v>170</v>
      </c>
      <c r="H43" s="4">
        <f t="shared" si="7"/>
        <v>0</v>
      </c>
    </row>
    <row r="44" spans="1:8" x14ac:dyDescent="0.2">
      <c r="A44" s="13" t="s">
        <v>44</v>
      </c>
      <c r="B44" s="4">
        <v>1007</v>
      </c>
      <c r="C44" s="14">
        <v>0</v>
      </c>
      <c r="D44" s="4">
        <f t="shared" si="5"/>
        <v>1007</v>
      </c>
      <c r="F44" s="14">
        <f t="shared" si="8"/>
        <v>1007</v>
      </c>
      <c r="H44" s="4">
        <f t="shared" si="7"/>
        <v>0</v>
      </c>
    </row>
    <row r="45" spans="1:8" x14ac:dyDescent="0.2">
      <c r="A45" s="15" t="s">
        <v>45</v>
      </c>
      <c r="B45" s="4">
        <v>875</v>
      </c>
      <c r="C45" s="14">
        <v>0</v>
      </c>
      <c r="D45" s="4">
        <f t="shared" si="5"/>
        <v>875</v>
      </c>
      <c r="F45" s="14">
        <f t="shared" si="8"/>
        <v>875</v>
      </c>
      <c r="H45" s="4">
        <f t="shared" si="7"/>
        <v>0</v>
      </c>
    </row>
    <row r="46" spans="1:8" x14ac:dyDescent="0.2">
      <c r="A46" s="15"/>
    </row>
    <row r="47" spans="1:8" s="1" customFormat="1" ht="15" x14ac:dyDescent="0.25">
      <c r="A47" s="18" t="s">
        <v>54</v>
      </c>
      <c r="B47" s="19">
        <f>SUM(B6:B45)</f>
        <v>248464</v>
      </c>
      <c r="C47" s="20">
        <f>SUM(C6:C45)</f>
        <v>2932</v>
      </c>
      <c r="D47" s="19">
        <f>SUM(D6:D45)</f>
        <v>251396</v>
      </c>
      <c r="E47" s="21"/>
      <c r="F47" s="20">
        <f>SUM(F7:F45)</f>
        <v>251396</v>
      </c>
      <c r="H47" s="20">
        <f>SUM(H7:H45)</f>
        <v>0</v>
      </c>
    </row>
    <row r="48" spans="1:8" s="1" customFormat="1" ht="15" x14ac:dyDescent="0.25">
      <c r="B48" s="21"/>
      <c r="C48" s="22"/>
      <c r="D48" s="21"/>
      <c r="E48" s="21"/>
      <c r="F48" s="22"/>
    </row>
    <row r="49" spans="1:8" s="1" customFormat="1" ht="15" x14ac:dyDescent="0.25">
      <c r="A49" s="10" t="s">
        <v>50</v>
      </c>
      <c r="B49" s="21"/>
      <c r="C49" s="22"/>
      <c r="D49" s="21"/>
      <c r="E49" s="21"/>
      <c r="F49" s="22"/>
    </row>
    <row r="50" spans="1:8" s="1" customFormat="1" ht="15" x14ac:dyDescent="0.25">
      <c r="A50" s="1" t="s">
        <v>51</v>
      </c>
      <c r="B50" s="4">
        <v>201337</v>
      </c>
      <c r="C50" s="14">
        <f>1350-750</f>
        <v>600</v>
      </c>
      <c r="D50" s="77">
        <f t="shared" ref="D50:D52" si="9">SUM(B50:C50)</f>
        <v>201937</v>
      </c>
      <c r="E50" s="21"/>
      <c r="F50" s="14">
        <f t="shared" ref="F50:F52" si="10">D50</f>
        <v>201937</v>
      </c>
      <c r="H50" s="4">
        <f t="shared" ref="H50:H52" si="11">D50-F50</f>
        <v>0</v>
      </c>
    </row>
    <row r="51" spans="1:8" s="1" customFormat="1" ht="15" x14ac:dyDescent="0.25">
      <c r="A51" s="1" t="s">
        <v>52</v>
      </c>
      <c r="B51" s="4">
        <v>4100</v>
      </c>
      <c r="C51" s="14"/>
      <c r="D51" s="77">
        <f t="shared" si="9"/>
        <v>4100</v>
      </c>
      <c r="E51" s="21"/>
      <c r="F51" s="14">
        <f t="shared" si="10"/>
        <v>4100</v>
      </c>
      <c r="H51" s="4">
        <f t="shared" si="11"/>
        <v>0</v>
      </c>
    </row>
    <row r="52" spans="1:8" s="1" customFormat="1" ht="15" x14ac:dyDescent="0.25">
      <c r="A52" s="1" t="s">
        <v>49</v>
      </c>
      <c r="B52" s="25">
        <v>49385</v>
      </c>
      <c r="C52" s="14"/>
      <c r="D52" s="77">
        <f t="shared" si="9"/>
        <v>49385</v>
      </c>
      <c r="E52" s="21"/>
      <c r="F52" s="14">
        <f t="shared" si="10"/>
        <v>49385</v>
      </c>
      <c r="H52" s="4">
        <f t="shared" si="11"/>
        <v>0</v>
      </c>
    </row>
    <row r="53" spans="1:8" s="1" customFormat="1" ht="15" x14ac:dyDescent="0.25">
      <c r="A53" s="1" t="s">
        <v>53</v>
      </c>
      <c r="B53" s="20">
        <f>SUM(B50:B52)</f>
        <v>254822</v>
      </c>
      <c r="C53" s="20">
        <f t="shared" ref="C53:D53" si="12">SUM(C50:C52)</f>
        <v>600</v>
      </c>
      <c r="D53" s="20">
        <f t="shared" si="12"/>
        <v>255422</v>
      </c>
      <c r="E53" s="21"/>
      <c r="F53" s="20">
        <f>SUM(F50:F52)</f>
        <v>255422</v>
      </c>
      <c r="H53" s="20">
        <f>SUM(H50:H52)</f>
        <v>0</v>
      </c>
    </row>
    <row r="54" spans="1:8" s="1" customFormat="1" ht="15" x14ac:dyDescent="0.25">
      <c r="B54" s="26"/>
      <c r="C54" s="22"/>
      <c r="D54" s="21"/>
      <c r="E54" s="21"/>
      <c r="F54" s="22"/>
    </row>
    <row r="55" spans="1:8" s="1" customFormat="1" ht="15" x14ac:dyDescent="0.25">
      <c r="B55" s="21"/>
      <c r="C55" s="22"/>
      <c r="D55" s="21"/>
      <c r="E55" s="21"/>
      <c r="F55" s="22"/>
    </row>
    <row r="56" spans="1:8" ht="15.75" thickBot="1" x14ac:dyDescent="0.3">
      <c r="A56" s="1" t="s">
        <v>46</v>
      </c>
      <c r="B56" s="23">
        <f>+B53-B47</f>
        <v>6358</v>
      </c>
      <c r="C56" s="24">
        <f t="shared" ref="C56:H56" si="13">+C53-C47</f>
        <v>-2332</v>
      </c>
      <c r="D56" s="23">
        <f t="shared" si="13"/>
        <v>4026</v>
      </c>
      <c r="F56" s="24">
        <f t="shared" si="13"/>
        <v>4026</v>
      </c>
      <c r="H56" s="24">
        <f t="shared" si="13"/>
        <v>0</v>
      </c>
    </row>
    <row r="58" spans="1:8" x14ac:dyDescent="0.2">
      <c r="A58" s="98" t="s">
        <v>112</v>
      </c>
    </row>
    <row r="59" spans="1:8" x14ac:dyDescent="0.2">
      <c r="A59" s="98" t="s">
        <v>113</v>
      </c>
    </row>
    <row r="60" spans="1:8" x14ac:dyDescent="0.2">
      <c r="A60" s="100" t="s">
        <v>114</v>
      </c>
      <c r="B60" s="100"/>
      <c r="C60" s="100"/>
      <c r="D60" s="100"/>
      <c r="E60" s="100"/>
      <c r="F60" s="100"/>
      <c r="G60" s="100"/>
      <c r="H60" s="100"/>
    </row>
    <row r="61" spans="1:8" x14ac:dyDescent="0.2">
      <c r="A61" s="98" t="s">
        <v>111</v>
      </c>
    </row>
  </sheetData>
  <mergeCells count="1">
    <mergeCell ref="A60:H60"/>
  </mergeCells>
  <pageMargins left="0.70866141732283472" right="0.70866141732283472" top="0.74803149606299213" bottom="0.74803149606299213" header="0.31496062992125984" footer="0.31496062992125984"/>
  <pageSetup paperSize="9" scale="83" orientation="portrait" verticalDpi="200" r:id="rId1"/>
  <headerFooter>
    <oddHeader>&amp;RTABLE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workbookViewId="0">
      <selection activeCell="D23" sqref="D23"/>
    </sheetView>
  </sheetViews>
  <sheetFormatPr defaultRowHeight="12.75" x14ac:dyDescent="0.2"/>
  <cols>
    <col min="1" max="1" width="9.140625" style="46"/>
    <col min="2" max="2" width="47.140625" style="46" customWidth="1"/>
    <col min="3" max="3" width="9.140625" style="46"/>
    <col min="4" max="4" width="10.85546875" style="46" customWidth="1"/>
    <col min="5" max="5" width="12.5703125" style="44" customWidth="1"/>
    <col min="6" max="6" width="15.7109375" style="66" customWidth="1"/>
    <col min="7" max="7" width="3.7109375" style="66" customWidth="1"/>
    <col min="8" max="8" width="28.5703125" style="66" customWidth="1"/>
    <col min="9" max="9" width="15.7109375" style="66" customWidth="1"/>
    <col min="10" max="10" width="2.7109375" style="66" customWidth="1"/>
    <col min="11" max="11" width="10.7109375" style="66" customWidth="1"/>
    <col min="12" max="12" width="18" style="66" hidden="1" customWidth="1"/>
    <col min="13" max="13" width="0" style="66" hidden="1" customWidth="1"/>
    <col min="14" max="14" width="11.5703125" style="66" hidden="1" customWidth="1"/>
    <col min="15" max="15" width="23.42578125" style="45" customWidth="1"/>
    <col min="16" max="16" width="9.140625" style="44"/>
    <col min="17" max="16384" width="9.140625" style="46"/>
  </cols>
  <sheetData>
    <row r="1" spans="1:14" x14ac:dyDescent="0.2">
      <c r="A1" s="47" t="s">
        <v>25</v>
      </c>
      <c r="B1" s="48"/>
      <c r="C1" s="48"/>
      <c r="D1" s="48"/>
      <c r="F1" s="73" t="s">
        <v>98</v>
      </c>
      <c r="G1" s="73"/>
      <c r="H1" s="73"/>
      <c r="I1" s="49"/>
      <c r="J1" s="49"/>
      <c r="K1" s="49"/>
      <c r="L1" s="49"/>
      <c r="M1" s="49"/>
      <c r="N1" s="49"/>
    </row>
    <row r="2" spans="1:14" x14ac:dyDescent="0.2">
      <c r="A2" s="50"/>
      <c r="B2" s="44"/>
      <c r="C2" s="44"/>
      <c r="D2" s="44"/>
      <c r="F2" s="73"/>
      <c r="G2" s="73"/>
      <c r="H2" s="73"/>
      <c r="I2" s="83" t="s">
        <v>106</v>
      </c>
      <c r="J2" s="83"/>
      <c r="K2" s="83" t="s">
        <v>107</v>
      </c>
      <c r="L2" s="45"/>
      <c r="M2" s="45"/>
      <c r="N2" s="45"/>
    </row>
    <row r="3" spans="1:14" ht="15.75" customHeight="1" thickBot="1" x14ac:dyDescent="0.25">
      <c r="A3" s="50" t="s">
        <v>101</v>
      </c>
      <c r="B3" s="44"/>
      <c r="C3" s="44"/>
      <c r="D3" s="82"/>
      <c r="F3" s="30"/>
      <c r="G3" s="30"/>
      <c r="H3" s="30"/>
      <c r="I3" s="84" t="s">
        <v>56</v>
      </c>
      <c r="J3" s="84"/>
      <c r="K3" s="84" t="s">
        <v>56</v>
      </c>
      <c r="L3" s="32" t="s">
        <v>57</v>
      </c>
      <c r="M3" s="33" t="s">
        <v>58</v>
      </c>
      <c r="N3" s="45"/>
    </row>
    <row r="4" spans="1:14" ht="15.75" thickTop="1" x14ac:dyDescent="0.2">
      <c r="A4" s="51"/>
      <c r="B4" s="52"/>
      <c r="C4" s="53"/>
      <c r="D4" s="89"/>
      <c r="F4" s="30" t="s">
        <v>59</v>
      </c>
      <c r="G4" s="30"/>
      <c r="H4" s="30"/>
      <c r="I4" s="34"/>
      <c r="J4" s="34"/>
      <c r="K4" s="34"/>
      <c r="L4" s="35"/>
      <c r="M4" s="35"/>
      <c r="N4" s="45"/>
    </row>
    <row r="5" spans="1:14" ht="14.25" x14ac:dyDescent="0.2">
      <c r="A5" s="54" t="s">
        <v>0</v>
      </c>
      <c r="B5" s="55"/>
      <c r="C5" s="56" t="s">
        <v>1</v>
      </c>
      <c r="D5" s="90" t="s">
        <v>2</v>
      </c>
      <c r="F5" s="36" t="s">
        <v>60</v>
      </c>
      <c r="G5" s="36"/>
      <c r="H5" s="36"/>
      <c r="I5" s="34"/>
      <c r="J5" s="34"/>
      <c r="K5" s="34"/>
      <c r="L5" s="35"/>
      <c r="M5" s="35"/>
      <c r="N5" s="45"/>
    </row>
    <row r="6" spans="1:14" ht="15" thickBot="1" x14ac:dyDescent="0.25">
      <c r="A6" s="57"/>
      <c r="B6" s="58"/>
      <c r="C6" s="59"/>
      <c r="D6" s="91"/>
      <c r="F6" s="74" t="s">
        <v>61</v>
      </c>
      <c r="G6" s="74"/>
      <c r="H6" s="74"/>
      <c r="I6" s="34">
        <v>0.63</v>
      </c>
      <c r="J6" s="34"/>
      <c r="K6" s="34">
        <v>0.63</v>
      </c>
      <c r="L6" s="38" t="s">
        <v>62</v>
      </c>
      <c r="M6" s="38" t="s">
        <v>63</v>
      </c>
      <c r="N6" s="45"/>
    </row>
    <row r="7" spans="1:14" ht="14.25" x14ac:dyDescent="0.2">
      <c r="A7" s="54" t="s">
        <v>3</v>
      </c>
      <c r="B7" s="55"/>
      <c r="C7" s="60"/>
      <c r="D7" s="92"/>
      <c r="F7" s="74" t="s">
        <v>64</v>
      </c>
      <c r="G7" s="74"/>
      <c r="H7" s="74"/>
      <c r="I7" s="34">
        <v>0.08</v>
      </c>
      <c r="J7" s="34"/>
      <c r="K7" s="34">
        <v>0.08</v>
      </c>
      <c r="L7" s="38" t="s">
        <v>62</v>
      </c>
      <c r="M7" s="38" t="s">
        <v>63</v>
      </c>
      <c r="N7" s="45"/>
    </row>
    <row r="8" spans="1:14" ht="14.25" x14ac:dyDescent="0.2">
      <c r="A8" s="61" t="s">
        <v>4</v>
      </c>
      <c r="B8" s="62"/>
      <c r="C8" s="63">
        <v>6</v>
      </c>
      <c r="D8" s="93">
        <v>7443.9026699999995</v>
      </c>
      <c r="F8" s="74" t="s">
        <v>65</v>
      </c>
      <c r="G8" s="74"/>
      <c r="H8" s="74"/>
      <c r="I8" s="34">
        <v>0.17</v>
      </c>
      <c r="J8" s="34"/>
      <c r="K8" s="34">
        <v>0.17</v>
      </c>
      <c r="L8" s="38" t="s">
        <v>62</v>
      </c>
      <c r="M8" s="38" t="s">
        <v>66</v>
      </c>
      <c r="N8" s="45"/>
    </row>
    <row r="9" spans="1:14" ht="14.25" x14ac:dyDescent="0.2">
      <c r="A9" s="61" t="s">
        <v>5</v>
      </c>
      <c r="B9" s="62"/>
      <c r="C9" s="63">
        <v>6</v>
      </c>
      <c r="D9" s="93">
        <v>7443.9026699999995</v>
      </c>
      <c r="F9" s="44" t="s">
        <v>67</v>
      </c>
      <c r="G9" s="44"/>
      <c r="H9" s="44"/>
      <c r="I9" s="39">
        <v>1</v>
      </c>
      <c r="J9" s="39"/>
      <c r="K9" s="39">
        <v>1</v>
      </c>
      <c r="L9" s="38" t="s">
        <v>68</v>
      </c>
      <c r="M9" s="38" t="s">
        <v>13</v>
      </c>
      <c r="N9" s="45"/>
    </row>
    <row r="10" spans="1:14" ht="14.25" x14ac:dyDescent="0.2">
      <c r="A10" s="61" t="s">
        <v>6</v>
      </c>
      <c r="B10" s="62"/>
      <c r="C10" s="64">
        <f>IF(C8=0,0,(C9/C8)*100)</f>
        <v>100</v>
      </c>
      <c r="D10" s="94">
        <f>IF(D8=0,0,(D9/D8)*100)</f>
        <v>100</v>
      </c>
      <c r="F10" s="74" t="s">
        <v>69</v>
      </c>
      <c r="G10" s="74"/>
      <c r="H10" s="74"/>
      <c r="I10" s="40">
        <v>0.5</v>
      </c>
      <c r="J10" s="40"/>
      <c r="K10" s="40">
        <v>0.5</v>
      </c>
      <c r="L10" s="38" t="s">
        <v>62</v>
      </c>
      <c r="M10" s="38" t="s">
        <v>70</v>
      </c>
      <c r="N10" s="45"/>
    </row>
    <row r="11" spans="1:14" ht="14.25" x14ac:dyDescent="0.2">
      <c r="A11" s="54" t="s">
        <v>7</v>
      </c>
      <c r="B11" s="55"/>
      <c r="C11" s="65"/>
      <c r="D11" s="95"/>
      <c r="F11" s="37"/>
      <c r="G11" s="37"/>
      <c r="H11" s="37"/>
      <c r="I11" s="41">
        <f>SUM(I6:I10)</f>
        <v>2.38</v>
      </c>
      <c r="J11" s="34"/>
      <c r="K11" s="41">
        <f>SUM(K6:K10)</f>
        <v>2.38</v>
      </c>
      <c r="L11" s="35"/>
      <c r="M11" s="35"/>
      <c r="N11" s="45"/>
    </row>
    <row r="12" spans="1:14" ht="23.25" customHeight="1" x14ac:dyDescent="0.2">
      <c r="A12" s="61" t="s">
        <v>8</v>
      </c>
      <c r="B12" s="62"/>
      <c r="C12" s="63">
        <v>7</v>
      </c>
      <c r="D12" s="93">
        <v>9336.2412199999999</v>
      </c>
      <c r="F12" s="36" t="s">
        <v>71</v>
      </c>
      <c r="G12" s="36"/>
      <c r="H12" s="36"/>
      <c r="I12" s="34"/>
      <c r="J12" s="34"/>
      <c r="K12" s="34"/>
      <c r="L12" s="35"/>
      <c r="M12" s="35"/>
      <c r="N12" s="45"/>
    </row>
    <row r="13" spans="1:14" ht="14.25" x14ac:dyDescent="0.2">
      <c r="A13" s="61" t="s">
        <v>9</v>
      </c>
      <c r="B13" s="62"/>
      <c r="C13" s="63">
        <v>7</v>
      </c>
      <c r="D13" s="93">
        <v>9336.2412199999999</v>
      </c>
      <c r="F13" s="74" t="s">
        <v>72</v>
      </c>
      <c r="G13" s="74"/>
      <c r="H13" s="74"/>
      <c r="I13" s="34">
        <v>0.05</v>
      </c>
      <c r="J13" s="34"/>
      <c r="K13" s="34">
        <v>0.05</v>
      </c>
      <c r="L13" s="38" t="s">
        <v>62</v>
      </c>
      <c r="M13" s="38" t="s">
        <v>66</v>
      </c>
      <c r="N13" s="45"/>
    </row>
    <row r="14" spans="1:14" ht="15" thickBot="1" x14ac:dyDescent="0.25">
      <c r="A14" s="67" t="s">
        <v>10</v>
      </c>
      <c r="B14" s="68"/>
      <c r="C14" s="69">
        <f>IF(C12=0,0,(C13/C12)*100)</f>
        <v>100</v>
      </c>
      <c r="D14" s="96">
        <f>IF(D12=0,0,(D13/D12)*100)</f>
        <v>100</v>
      </c>
      <c r="F14" s="74" t="s">
        <v>73</v>
      </c>
      <c r="G14" s="74"/>
      <c r="H14" s="74"/>
      <c r="I14" s="34">
        <v>0.05</v>
      </c>
      <c r="J14" s="34"/>
      <c r="K14" s="34">
        <v>0.05</v>
      </c>
      <c r="L14" s="38" t="s">
        <v>62</v>
      </c>
      <c r="M14" s="38" t="s">
        <v>66</v>
      </c>
      <c r="N14" s="45"/>
    </row>
    <row r="15" spans="1:14" ht="15" thickTop="1" x14ac:dyDescent="0.2">
      <c r="A15" s="101"/>
      <c r="B15" s="101"/>
      <c r="C15" s="101"/>
      <c r="D15" s="101"/>
      <c r="F15" s="74" t="s">
        <v>74</v>
      </c>
      <c r="G15" s="74"/>
      <c r="H15" s="74"/>
      <c r="I15" s="34">
        <v>0.05</v>
      </c>
      <c r="J15" s="34"/>
      <c r="K15" s="34">
        <v>0.05</v>
      </c>
      <c r="L15" s="38" t="s">
        <v>62</v>
      </c>
      <c r="M15" s="38" t="s">
        <v>75</v>
      </c>
      <c r="N15" s="45"/>
    </row>
    <row r="16" spans="1:14" ht="14.25" x14ac:dyDescent="0.2">
      <c r="A16" s="50" t="s">
        <v>99</v>
      </c>
      <c r="B16" s="50"/>
      <c r="C16" s="44"/>
      <c r="D16" s="44"/>
      <c r="F16" s="74" t="s">
        <v>76</v>
      </c>
      <c r="G16" s="74"/>
      <c r="H16" s="74"/>
      <c r="I16" s="28">
        <v>0.04</v>
      </c>
      <c r="J16" s="28"/>
      <c r="K16" s="28">
        <v>0.04</v>
      </c>
      <c r="L16" s="38" t="s">
        <v>62</v>
      </c>
      <c r="M16" s="38" t="s">
        <v>66</v>
      </c>
      <c r="N16" s="45"/>
    </row>
    <row r="17" spans="1:15" ht="13.5" customHeight="1" x14ac:dyDescent="0.2">
      <c r="A17" s="50"/>
      <c r="B17" s="50"/>
      <c r="C17" s="44"/>
      <c r="D17" s="44"/>
      <c r="F17" s="74" t="s">
        <v>77</v>
      </c>
      <c r="G17" s="74"/>
      <c r="H17" s="74"/>
      <c r="I17" s="34">
        <v>0.14000000000000001</v>
      </c>
      <c r="J17" s="34"/>
      <c r="K17" s="34">
        <v>0.14000000000000001</v>
      </c>
      <c r="L17" s="38" t="s">
        <v>62</v>
      </c>
      <c r="M17" s="38" t="s">
        <v>66</v>
      </c>
      <c r="N17" s="45"/>
    </row>
    <row r="18" spans="1:15" ht="14.25" x14ac:dyDescent="0.2">
      <c r="A18" s="70" t="s">
        <v>100</v>
      </c>
      <c r="B18" s="44"/>
      <c r="C18" s="44"/>
      <c r="D18" s="44"/>
      <c r="F18" s="44" t="s">
        <v>78</v>
      </c>
      <c r="G18" s="44"/>
      <c r="H18" s="44"/>
      <c r="I18" s="28">
        <v>0.06</v>
      </c>
      <c r="J18" s="28"/>
      <c r="K18" s="28">
        <v>0.06</v>
      </c>
      <c r="L18" s="38" t="s">
        <v>62</v>
      </c>
      <c r="M18" s="38" t="s">
        <v>66</v>
      </c>
    </row>
    <row r="19" spans="1:15" ht="14.25" x14ac:dyDescent="0.2">
      <c r="B19" s="44"/>
      <c r="C19" s="44"/>
      <c r="D19" s="44"/>
      <c r="F19" s="74" t="s">
        <v>79</v>
      </c>
      <c r="G19" s="74"/>
      <c r="H19" s="74"/>
      <c r="I19" s="40">
        <v>0.1</v>
      </c>
      <c r="J19" s="40"/>
      <c r="K19" s="40">
        <v>0.1</v>
      </c>
      <c r="L19" s="38" t="s">
        <v>62</v>
      </c>
      <c r="M19" s="38" t="s">
        <v>66</v>
      </c>
    </row>
    <row r="20" spans="1:15" ht="14.25" x14ac:dyDescent="0.2">
      <c r="F20" s="74"/>
      <c r="G20" s="74"/>
      <c r="H20" s="74"/>
      <c r="I20" s="41">
        <f>SUM(I13:I19)</f>
        <v>0.4900000000000001</v>
      </c>
      <c r="J20" s="34"/>
      <c r="K20" s="41">
        <f>SUM(K13:K19)</f>
        <v>0.4900000000000001</v>
      </c>
      <c r="L20" s="35"/>
      <c r="M20" s="35"/>
    </row>
    <row r="21" spans="1:15" ht="14.25" x14ac:dyDescent="0.2">
      <c r="F21" s="75" t="s">
        <v>80</v>
      </c>
      <c r="G21" s="75"/>
      <c r="H21" s="75"/>
      <c r="I21" s="28"/>
      <c r="J21" s="28"/>
      <c r="K21" s="28"/>
      <c r="L21" s="35"/>
      <c r="M21" s="35"/>
    </row>
    <row r="22" spans="1:15" ht="14.25" x14ac:dyDescent="0.2">
      <c r="F22" s="102" t="s">
        <v>81</v>
      </c>
      <c r="G22" s="102"/>
      <c r="H22" s="102"/>
      <c r="I22" s="28">
        <v>0.25</v>
      </c>
      <c r="J22" s="28"/>
      <c r="K22" s="28">
        <v>0.25</v>
      </c>
      <c r="L22" s="38" t="s">
        <v>68</v>
      </c>
      <c r="M22" s="38" t="s">
        <v>82</v>
      </c>
    </row>
    <row r="23" spans="1:15" ht="15" x14ac:dyDescent="0.2">
      <c r="F23" s="29"/>
      <c r="G23" s="29"/>
      <c r="H23" s="29"/>
      <c r="I23" s="41">
        <v>0.25</v>
      </c>
      <c r="J23" s="34"/>
      <c r="K23" s="41">
        <v>0.25</v>
      </c>
      <c r="L23" s="27"/>
      <c r="M23" s="27"/>
    </row>
    <row r="24" spans="1:15" ht="14.25" x14ac:dyDescent="0.2">
      <c r="F24" s="37"/>
      <c r="G24" s="37"/>
      <c r="H24" s="37"/>
      <c r="I24" s="28"/>
      <c r="J24" s="28"/>
      <c r="K24" s="28"/>
      <c r="L24" s="27"/>
      <c r="M24" s="27"/>
    </row>
    <row r="25" spans="1:15" ht="15.75" thickBot="1" x14ac:dyDescent="0.3">
      <c r="F25" s="29" t="s">
        <v>83</v>
      </c>
      <c r="G25" s="29"/>
      <c r="H25" s="29"/>
      <c r="I25" s="42">
        <f>I11+I20+I23</f>
        <v>3.12</v>
      </c>
      <c r="J25" s="72"/>
      <c r="K25" s="42">
        <f>K11+K20+K23</f>
        <v>3.12</v>
      </c>
      <c r="L25" s="1"/>
      <c r="M25" s="1"/>
    </row>
    <row r="26" spans="1:15" ht="18" customHeight="1" x14ac:dyDescent="0.2">
      <c r="F26" s="27"/>
      <c r="G26" s="27"/>
      <c r="H26" s="27"/>
      <c r="I26" s="28"/>
      <c r="J26" s="28"/>
      <c r="K26" s="28"/>
      <c r="L26" s="27"/>
      <c r="M26" s="27"/>
    </row>
    <row r="27" spans="1:15" s="44" customFormat="1" ht="14.25" x14ac:dyDescent="0.2">
      <c r="A27" s="46"/>
      <c r="B27" s="46"/>
      <c r="C27" s="46"/>
      <c r="D27" s="46"/>
      <c r="F27" s="27"/>
      <c r="G27" s="27"/>
      <c r="H27" s="27"/>
      <c r="I27" s="28"/>
      <c r="J27" s="28"/>
      <c r="K27" s="28"/>
      <c r="L27" s="27"/>
      <c r="M27" s="27"/>
      <c r="N27" s="66"/>
      <c r="O27" s="45"/>
    </row>
    <row r="28" spans="1:15" s="44" customFormat="1" ht="15" x14ac:dyDescent="0.2">
      <c r="B28" s="46"/>
      <c r="C28" s="46"/>
      <c r="D28" s="46"/>
      <c r="F28" s="30" t="s">
        <v>97</v>
      </c>
      <c r="G28" s="30"/>
      <c r="H28" s="30"/>
      <c r="I28" s="31"/>
      <c r="J28" s="31"/>
      <c r="K28" s="31"/>
      <c r="L28" s="27"/>
      <c r="M28" s="27"/>
      <c r="N28" s="66"/>
      <c r="O28" s="45"/>
    </row>
    <row r="29" spans="1:15" ht="14.25" x14ac:dyDescent="0.2">
      <c r="A29" s="70" t="s">
        <v>26</v>
      </c>
      <c r="F29" s="36" t="s">
        <v>71</v>
      </c>
      <c r="G29" s="36"/>
      <c r="H29" s="36"/>
      <c r="I29" s="28"/>
      <c r="J29" s="28"/>
      <c r="K29" s="28"/>
      <c r="L29" s="27"/>
      <c r="M29" s="27"/>
    </row>
    <row r="30" spans="1:15" ht="14.25" x14ac:dyDescent="0.2">
      <c r="F30" s="44" t="s">
        <v>91</v>
      </c>
      <c r="G30" s="44"/>
      <c r="H30" s="44"/>
      <c r="I30" s="80">
        <f>950/1000</f>
        <v>0.95</v>
      </c>
      <c r="J30" s="80"/>
      <c r="K30" s="80">
        <f>950/1000</f>
        <v>0.95</v>
      </c>
      <c r="L30" s="27"/>
      <c r="M30" s="27"/>
    </row>
    <row r="31" spans="1:15" ht="14.25" x14ac:dyDescent="0.2">
      <c r="F31" s="44" t="s">
        <v>92</v>
      </c>
      <c r="G31" s="44"/>
      <c r="H31" s="44"/>
      <c r="I31" s="80">
        <f>500/1000</f>
        <v>0.5</v>
      </c>
      <c r="J31" s="80"/>
      <c r="K31" s="80">
        <f>500/1000</f>
        <v>0.5</v>
      </c>
      <c r="L31" s="27"/>
      <c r="M31" s="27"/>
    </row>
    <row r="32" spans="1:15" ht="14.25" x14ac:dyDescent="0.2">
      <c r="F32" s="44" t="s">
        <v>93</v>
      </c>
      <c r="G32" s="44"/>
      <c r="H32" s="44"/>
      <c r="I32" s="80">
        <f>65/1000</f>
        <v>6.5000000000000002E-2</v>
      </c>
      <c r="J32" s="80"/>
      <c r="K32" s="80">
        <f>65/1000</f>
        <v>6.5000000000000002E-2</v>
      </c>
      <c r="L32" s="27"/>
      <c r="M32" s="27"/>
    </row>
    <row r="33" spans="1:15" ht="14.25" x14ac:dyDescent="0.2">
      <c r="F33" s="44" t="s">
        <v>94</v>
      </c>
      <c r="G33" s="44"/>
      <c r="H33" s="44"/>
      <c r="I33" s="80">
        <f>679/1000</f>
        <v>0.67900000000000005</v>
      </c>
      <c r="J33" s="80"/>
      <c r="K33" s="80">
        <f>679/1000</f>
        <v>0.67900000000000005</v>
      </c>
      <c r="L33" s="27"/>
      <c r="M33" s="27"/>
      <c r="N33" s="46"/>
    </row>
    <row r="34" spans="1:15" ht="15" thickBot="1" x14ac:dyDescent="0.25">
      <c r="F34" s="27"/>
      <c r="G34" s="27"/>
      <c r="H34" s="27"/>
      <c r="I34" s="80"/>
      <c r="J34" s="80"/>
      <c r="K34" s="80"/>
      <c r="L34" s="27"/>
      <c r="M34" s="27"/>
    </row>
    <row r="35" spans="1:15" ht="15.75" thickBot="1" x14ac:dyDescent="0.3">
      <c r="F35" s="1" t="s">
        <v>95</v>
      </c>
      <c r="G35" s="1"/>
      <c r="H35" s="1"/>
      <c r="I35" s="81">
        <f>SUM(I30:I34)</f>
        <v>2.194</v>
      </c>
      <c r="J35" s="85"/>
      <c r="K35" s="81">
        <f>SUM(K30:K34)</f>
        <v>2.194</v>
      </c>
      <c r="L35" s="27"/>
      <c r="M35" s="27"/>
    </row>
    <row r="36" spans="1:15" ht="14.25" x14ac:dyDescent="0.2">
      <c r="A36" s="71"/>
      <c r="L36" s="27"/>
      <c r="M36" s="27"/>
    </row>
    <row r="37" spans="1:15" ht="14.25" x14ac:dyDescent="0.2">
      <c r="F37" s="74" t="s">
        <v>108</v>
      </c>
      <c r="G37" s="74"/>
      <c r="H37" s="74"/>
      <c r="I37" s="34"/>
      <c r="J37" s="34"/>
      <c r="K37" s="34"/>
    </row>
    <row r="38" spans="1:15" ht="14.25" x14ac:dyDescent="0.2">
      <c r="F38" s="86" t="s">
        <v>84</v>
      </c>
      <c r="G38" s="87" t="s">
        <v>85</v>
      </c>
      <c r="H38" s="88" t="s">
        <v>86</v>
      </c>
      <c r="I38" s="46"/>
      <c r="J38" s="43"/>
      <c r="K38" s="46"/>
      <c r="L38" s="27"/>
    </row>
    <row r="39" spans="1:15" ht="14.25" x14ac:dyDescent="0.2">
      <c r="F39" s="86" t="s">
        <v>87</v>
      </c>
      <c r="G39" s="87" t="s">
        <v>85</v>
      </c>
      <c r="H39" s="88" t="s">
        <v>88</v>
      </c>
      <c r="I39" s="46"/>
      <c r="J39" s="43"/>
      <c r="K39" s="46"/>
      <c r="L39" s="38"/>
    </row>
    <row r="40" spans="1:15" ht="14.25" x14ac:dyDescent="0.2">
      <c r="F40" s="86" t="s">
        <v>89</v>
      </c>
      <c r="G40" s="87" t="s">
        <v>85</v>
      </c>
      <c r="H40" s="88" t="s">
        <v>90</v>
      </c>
      <c r="I40" s="46"/>
      <c r="J40" s="43"/>
      <c r="K40" s="46"/>
      <c r="L40" s="38"/>
    </row>
    <row r="41" spans="1:15" ht="14.25" x14ac:dyDescent="0.2">
      <c r="L41" s="38"/>
    </row>
    <row r="46" spans="1:15" x14ac:dyDescent="0.2">
      <c r="O46" s="44"/>
    </row>
  </sheetData>
  <mergeCells count="2">
    <mergeCell ref="A15:D15"/>
    <mergeCell ref="F22:H22"/>
  </mergeCells>
  <dataValidations count="1">
    <dataValidation type="decimal" allowBlank="1" showErrorMessage="1" errorTitle="Number Only" error="Error : This cell can only accept a numeric value with a max of 12 digits." sqref="C8:D14">
      <formula1>-1000000000000</formula1>
      <formula2>1000000000000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landscape" verticalDpi="200" r:id="rId1"/>
  <headerFooter>
    <oddHeader>&amp;RTABLE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Table 2-5</vt:lpstr>
      <vt:lpstr>'Table 2-5'!Print_Area</vt:lpstr>
    </vt:vector>
  </TitlesOfParts>
  <Company>NELCTP &amp; NLPCT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Popplewell</dc:creator>
  <cp:lastModifiedBy>Lynne Popplewell</cp:lastModifiedBy>
  <cp:lastPrinted>2013-05-01T21:18:41Z</cp:lastPrinted>
  <dcterms:created xsi:type="dcterms:W3CDTF">2011-09-13T15:48:20Z</dcterms:created>
  <dcterms:modified xsi:type="dcterms:W3CDTF">2013-05-02T09:17:40Z</dcterms:modified>
</cp:coreProperties>
</file>